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Tercer Trimestre 2023\Datos Abiertos\"/>
    </mc:Choice>
  </mc:AlternateContent>
  <bookViews>
    <workbookView xWindow="-120" yWindow="-120" windowWidth="21840" windowHeight="1374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I42" i="1" l="1"/>
  <c r="I37" i="1"/>
  <c r="I32" i="1"/>
  <c r="I21" i="1"/>
  <c r="I34" i="1" s="1"/>
  <c r="E20" i="1"/>
  <c r="H55" i="1"/>
  <c r="H53" i="1"/>
  <c r="H42" i="1"/>
  <c r="H37" i="1"/>
  <c r="H34" i="1"/>
  <c r="H32" i="1"/>
  <c r="H21" i="1"/>
  <c r="I53" i="1" l="1"/>
  <c r="I55" i="1" s="1"/>
  <c r="E33" i="1"/>
  <c r="D20" i="1"/>
  <c r="D33" i="1" l="1"/>
  <c r="D34" i="1" l="1"/>
  <c r="E34" i="1"/>
</calcChain>
</file>

<file path=xl/sharedStrings.xml><?xml version="1.0" encoding="utf-8"?>
<sst xmlns="http://schemas.openxmlformats.org/spreadsheetml/2006/main" count="108" uniqueCount="72">
  <si>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</si>
  <si>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</si>
  <si>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</si>
  <si>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</si>
  <si>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</si>
  <si>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</si>
  <si>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</si>
  <si>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</si>
  <si>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</si>
  <si>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</si>
  <si>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</si>
  <si>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</si>
  <si>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</si>
  <si>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</si>
  <si>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</si>
  <si>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</si>
  <si>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</si>
  <si>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</si>
  <si>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</si>
  <si>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</si>
  <si>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</si>
  <si>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</si>
  <si>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</si>
  <si>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</si>
  <si>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</si>
  <si>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</si>
  <si>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</si>
  <si>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</si>
  <si>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</si>
  <si>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</si>
  <si>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</si>
  <si>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</si>
  <si>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</si>
  <si>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</si>
  <si>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</si>
  <si>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</si>
  <si>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</si>
  <si>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</si>
  <si>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</si>
  <si>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</si>
  <si>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</si>
  <si>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</si>
  <si>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</si>
  <si>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</si>
  <si>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</si>
  <si>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</si>
  <si>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</si>
  <si>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</si>
  <si>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</si>
  <si>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</si>
  <si>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</si>
  <si>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</si>
  <si>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</si>
  <si>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</si>
  <si>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</si>
  <si>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</si>
  <si>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</si>
  <si>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</si>
  <si>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</si>
  <si>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</si>
  <si>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</si>
  <si>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</si>
  <si>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</si>
  <si>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</si>
  <si>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</si>
  <si>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L.A.E. LUIS NAVARRO GARCÍA</t>
  </si>
  <si>
    <t>DR. GUSTAVO OBLEA ROSALES</t>
  </si>
  <si>
    <t xml:space="preserve">AL  30 DE SEPTIEMBRE DEL 2023 Y DEL  2022  </t>
  </si>
  <si>
    <t>Morelia, Michoacán,  10 de noviembre de 2023</t>
  </si>
  <si>
    <t xml:space="preserve">                          -  </t>
  </si>
  <si>
    <t xml:space="preserve">                           -  </t>
  </si>
  <si>
    <t>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</si>
</sst>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0000000000000"/>
  </numFmts>
  <fonts count="39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3" fontId="0" fillId="0" borderId="0" xfId="0" applyNumberFormat="1"/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1" fontId="33" fillId="0" borderId="20" xfId="58" applyNumberFormat="1" applyFont="1" applyFill="1" applyBorder="1" applyAlignment="1">
      <alignment wrapText="1"/>
    </xf>
    <xf numFmtId="3" fontId="33" fillId="0" borderId="21" xfId="58" applyNumberFormat="1" applyFont="1" applyFill="1" applyBorder="1" applyAlignment="1">
      <alignment wrapTex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171" fontId="32" fillId="0" borderId="0" xfId="58" applyNumberFormat="1" applyFont="1" applyFill="1" applyBorder="1" applyAlignment="1">
      <alignment wrapText="1"/>
    </xf>
    <xf numFmtId="171" fontId="32" fillId="0" borderId="2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0" fontId="32" fillId="0" borderId="21" xfId="0" applyFont="1" applyBorder="1" applyAlignment="1">
      <alignment horizontal="left" wrapText="1"/>
    </xf>
    <xf numFmtId="0" fontId="33" fillId="0" borderId="20" xfId="0" applyFont="1" applyBorder="1"/>
    <xf numFmtId="171" fontId="33" fillId="0" borderId="21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3" fontId="33" fillId="0" borderId="20" xfId="58" applyNumberFormat="1" applyFont="1" applyFill="1" applyBorder="1" applyAlignment="1">
      <alignment horizontal="right"/>
    </xf>
    <xf numFmtId="173" fontId="33" fillId="0" borderId="21" xfId="58" applyNumberFormat="1" applyFont="1" applyFill="1" applyBorder="1" applyAlignment="1">
      <alignment horizontal="right"/>
    </xf>
    <xf numFmtId="170" fontId="33" fillId="0" borderId="20" xfId="58" applyNumberFormat="1" applyFont="1" applyFill="1" applyBorder="1" applyAlignment="1">
      <alignment wrapText="1"/>
    </xf>
    <xf numFmtId="170" fontId="33" fillId="0" borderId="21" xfId="58" applyNumberFormat="1" applyFont="1" applyFill="1" applyBorder="1" applyAlignment="1">
      <alignment wrapTex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/>
    <xf numFmtId="0" fontId="32" fillId="0" borderId="21" xfId="0" applyFont="1" applyBorder="1"/>
    <xf numFmtId="173" fontId="32" fillId="0" borderId="23" xfId="58" applyNumberFormat="1" applyFont="1" applyFill="1" applyBorder="1" applyAlignment="1">
      <alignment wrapText="1"/>
    </xf>
    <xf numFmtId="173" fontId="32" fillId="0" borderId="24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3" fontId="32" fillId="0" borderId="20" xfId="58" applyNumberFormat="1" applyFont="1" applyFill="1" applyBorder="1"/>
    <xf numFmtId="173" fontId="33" fillId="0" borderId="20" xfId="58" applyNumberFormat="1" applyFont="1" applyFill="1" applyBorder="1"/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horizontal="right"/>
    </xf>
    <xf numFmtId="0" fontId="33" fillId="0" borderId="20" xfId="0" applyFont="1" applyBorder="1" applyAlignment="1">
      <alignment wrapText="1"/>
    </xf>
    <xf numFmtId="173" fontId="32" fillId="0" borderId="24" xfId="58" applyNumberFormat="1" applyFont="1" applyFill="1" applyBorder="1"/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69" fontId="0" fillId="0" borderId="0" xfId="0" applyNumberFormat="1"/>
    <xf numFmtId="3" fontId="33" fillId="0" borderId="29" xfId="0" applyNumberFormat="1" applyFont="1" applyBorder="1" applyAlignment="1">
      <alignment wrapText="1"/>
    </xf>
    <xf numFmtId="0" fontId="33" fillId="0" borderId="29" xfId="0" applyFont="1" applyBorder="1" applyAlignment="1">
      <alignment wrapText="1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170" fontId="32" fillId="0" borderId="27" xfId="58" applyNumberFormat="1" applyFont="1" applyFill="1" applyBorder="1"/>
    <xf numFmtId="0" fontId="32" fillId="0" borderId="27" xfId="0" applyFont="1" applyBorder="1"/>
    <xf numFmtId="0" fontId="30" fillId="0" borderId="0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1" fillId="0" borderId="31" xfId="0" applyFont="1" applyBorder="1" applyAlignment="1">
      <alignment wrapText="1"/>
    </xf>
    <xf numFmtId="0" fontId="31" fillId="0" borderId="32" xfId="0" applyFont="1" applyBorder="1"/>
    <xf numFmtId="0" fontId="33" fillId="0" borderId="33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173" fontId="32" fillId="0" borderId="21" xfId="58" applyNumberFormat="1" applyFont="1" applyFill="1" applyBorder="1"/>
    <xf numFmtId="0" fontId="33" fillId="0" borderId="2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31" fillId="0" borderId="30" xfId="0" applyFont="1" applyBorder="1" applyAlignment="1">
      <alignment horizontal="left" indent="1"/>
    </xf>
    <xf numFmtId="0" fontId="31" fillId="0" borderId="3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173" fontId="32" fillId="0" borderId="21" xfId="58" applyNumberFormat="1" applyFont="1" applyFill="1" applyBorder="1" applyAlignment="1">
      <alignment horizontal="left" wrapText="1"/>
    </xf>
    <xf numFmtId="0" fontId="30" fillId="0" borderId="34" xfId="0" applyFont="1" applyBorder="1" applyAlignment="1">
      <alignment horizontal="right" wrapText="1"/>
    </xf>
    <xf numFmtId="3" fontId="0" fillId="0" borderId="0" xfId="0" applyNumberFormat="1"/>
    <xf numFmtId="174" fontId="0" fillId="0" borderId="0" xfId="0" applyNumberFormat="1"/>
    <xf numFmtId="10" fontId="0" fillId="0" borderId="0" xfId="60" applyNumberFormat="1" applyFont="1"/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</cellXfs>
  <cellStyles count="61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Porcentaje" xfId="60" builtinId="5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149225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0"/>
          <a:ext cx="596900" cy="14922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149225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0" y="0"/>
          <a:ext cx="596900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911225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11225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topLeftCell="A31" zoomScaleNormal="100" workbookViewId="0">
      <selection activeCell="M12" sqref="M12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13.28515625" customWidth="1"/>
    <col min="14" max="14" width="17.7109375" bestFit="1" customWidth="1"/>
  </cols>
  <sheetData>
    <row r="1" spans="2:13" s="2" customFormat="1" x14ac:dyDescent="0.2">
      <c r="B1" s="1"/>
      <c r="C1" s="21"/>
      <c r="D1" s="21"/>
      <c r="E1" s="22"/>
      <c r="F1" s="22"/>
      <c r="G1" s="23"/>
      <c r="H1" s="3"/>
      <c r="L1" s="4"/>
      <c r="M1" s="1"/>
    </row>
    <row r="2" spans="2:13" s="2" customFormat="1" x14ac:dyDescent="0.2">
      <c r="B2" s="1"/>
      <c r="C2" s="21"/>
      <c r="D2" s="21"/>
      <c r="E2" s="24"/>
      <c r="F2" s="24"/>
      <c r="G2" s="23"/>
      <c r="H2" s="3"/>
      <c r="L2" s="4"/>
      <c r="M2" s="1"/>
    </row>
    <row r="3" spans="2:13" ht="15.75" x14ac:dyDescent="0.25">
      <c r="B3" s="16" t="s">
        <v>4</v>
      </c>
      <c r="C3" s="25"/>
      <c r="D3" s="25"/>
      <c r="E3" s="25"/>
      <c r="F3" s="25"/>
      <c r="G3" s="25"/>
      <c r="H3" s="16"/>
      <c r="I3" s="16"/>
    </row>
    <row r="4" spans="2:13" x14ac:dyDescent="0.2">
      <c r="B4" s="17" t="s">
        <v>5</v>
      </c>
      <c r="C4" s="26"/>
      <c r="D4" s="26"/>
      <c r="E4" s="26"/>
      <c r="F4" s="26"/>
      <c r="G4" s="26"/>
      <c r="H4" s="18"/>
      <c r="I4" s="18"/>
    </row>
    <row r="5" spans="2:13" x14ac:dyDescent="0.2">
      <c r="B5" s="17" t="s">
        <v>67</v>
      </c>
      <c r="C5" s="26"/>
      <c r="D5" s="26"/>
      <c r="E5" s="26"/>
      <c r="F5" s="26"/>
      <c r="G5" s="26"/>
      <c r="H5" s="18"/>
      <c r="I5" s="18"/>
    </row>
    <row r="6" spans="2:13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3" ht="13.5" thickBot="1" x14ac:dyDescent="0.25">
      <c r="B7" s="134" t="s">
        <v>6</v>
      </c>
      <c r="C7" s="134"/>
      <c r="D7" s="134"/>
      <c r="E7" s="134"/>
      <c r="F7" s="134"/>
      <c r="G7" s="134"/>
      <c r="H7" s="134"/>
      <c r="I7" s="134"/>
    </row>
    <row r="8" spans="2:13" ht="13.5" thickBot="1" x14ac:dyDescent="0.25">
      <c r="B8" s="87" t="s">
        <v>3</v>
      </c>
      <c r="C8" s="88"/>
      <c r="D8" s="89">
        <v>2023</v>
      </c>
      <c r="E8" s="90">
        <v>2022</v>
      </c>
      <c r="F8" s="138" t="s">
        <v>64</v>
      </c>
      <c r="G8" s="139"/>
      <c r="H8" s="91">
        <v>2023</v>
      </c>
      <c r="I8" s="92">
        <v>2022</v>
      </c>
    </row>
    <row r="9" spans="2:13" x14ac:dyDescent="0.2">
      <c r="B9" s="126"/>
      <c r="C9" s="110"/>
      <c r="D9" s="127"/>
      <c r="E9" s="128"/>
      <c r="F9" s="109"/>
      <c r="G9" s="110"/>
      <c r="H9" s="111"/>
      <c r="I9" s="112"/>
    </row>
    <row r="10" spans="2:13" x14ac:dyDescent="0.2">
      <c r="B10" s="32"/>
      <c r="C10" s="97"/>
      <c r="D10" s="33"/>
      <c r="E10" s="34"/>
      <c r="F10" s="113"/>
      <c r="G10" s="99"/>
      <c r="H10" s="35"/>
      <c r="I10" s="36"/>
    </row>
    <row r="11" spans="2:13" x14ac:dyDescent="0.2">
      <c r="B11" s="37"/>
      <c r="C11" s="100" t="s">
        <v>7</v>
      </c>
      <c r="D11" s="38"/>
      <c r="E11" s="39"/>
      <c r="F11" s="114"/>
      <c r="G11" s="100" t="s">
        <v>28</v>
      </c>
      <c r="H11" s="40"/>
      <c r="I11" s="41"/>
    </row>
    <row r="12" spans="2:13" x14ac:dyDescent="0.2">
      <c r="B12" s="37"/>
      <c r="C12" s="98" t="s">
        <v>8</v>
      </c>
      <c r="D12" s="42">
        <v>6344656649.21</v>
      </c>
      <c r="E12" s="43">
        <v>4086751553</v>
      </c>
      <c r="F12" s="115"/>
      <c r="G12" s="98" t="s">
        <v>29</v>
      </c>
      <c r="H12" s="40">
        <v>1934879656.0699999</v>
      </c>
      <c r="I12" s="41">
        <v>3399684642</v>
      </c>
      <c r="L12" s="94"/>
      <c r="M12" s="133"/>
    </row>
    <row r="13" spans="2:13" ht="22.5" x14ac:dyDescent="0.2">
      <c r="B13" s="37"/>
      <c r="C13" s="98" t="s">
        <v>9</v>
      </c>
      <c r="D13" s="42">
        <v>1195346020.55</v>
      </c>
      <c r="E13" s="43">
        <v>3108166135</v>
      </c>
      <c r="F13" s="115"/>
      <c r="G13" s="98" t="s">
        <v>30</v>
      </c>
      <c r="H13" s="40">
        <v>835000004.39999998</v>
      </c>
      <c r="I13" s="41">
        <v>0</v>
      </c>
      <c r="L13" s="94"/>
      <c r="M13" s="93"/>
    </row>
    <row r="14" spans="2:13" ht="22.5" x14ac:dyDescent="0.2">
      <c r="B14" s="37"/>
      <c r="C14" s="44" t="s">
        <v>10</v>
      </c>
      <c r="D14" s="42">
        <v>303772210.70999998</v>
      </c>
      <c r="E14" s="43">
        <v>290542538</v>
      </c>
      <c r="F14" s="115"/>
      <c r="G14" s="98" t="s">
        <v>31</v>
      </c>
      <c r="H14" s="40">
        <v>25893129.16</v>
      </c>
      <c r="I14" s="41">
        <v>161680382</v>
      </c>
      <c r="L14" s="94"/>
      <c r="M14" s="93"/>
    </row>
    <row r="15" spans="2:13" x14ac:dyDescent="0.2">
      <c r="B15" s="37"/>
      <c r="C15" s="44" t="s">
        <v>11</v>
      </c>
      <c r="D15" s="42">
        <v>0</v>
      </c>
      <c r="E15" s="43">
        <v>0</v>
      </c>
      <c r="F15" s="115"/>
      <c r="G15" s="98" t="s">
        <v>32</v>
      </c>
      <c r="H15" s="40">
        <v>0</v>
      </c>
      <c r="I15" s="41">
        <v>0</v>
      </c>
      <c r="L15" s="95"/>
    </row>
    <row r="16" spans="2:13" x14ac:dyDescent="0.2">
      <c r="B16" s="45"/>
      <c r="C16" s="46" t="s">
        <v>12</v>
      </c>
      <c r="D16" s="42">
        <v>486820.21</v>
      </c>
      <c r="E16" s="43">
        <v>578456</v>
      </c>
      <c r="F16" s="115"/>
      <c r="G16" s="98" t="s">
        <v>33</v>
      </c>
      <c r="H16" s="40">
        <v>0</v>
      </c>
      <c r="I16" s="41">
        <v>0</v>
      </c>
      <c r="L16" s="94"/>
    </row>
    <row r="17" spans="2:12" ht="33.75" x14ac:dyDescent="0.2">
      <c r="B17" s="47"/>
      <c r="C17" s="46" t="s">
        <v>13</v>
      </c>
      <c r="D17" s="42">
        <v>0</v>
      </c>
      <c r="E17" s="43">
        <v>0</v>
      </c>
      <c r="F17" s="115"/>
      <c r="G17" s="98" t="s">
        <v>34</v>
      </c>
      <c r="H17" s="40">
        <v>222079977.41999999</v>
      </c>
      <c r="I17" s="41">
        <v>221107206</v>
      </c>
      <c r="L17" s="95"/>
    </row>
    <row r="18" spans="2:12" x14ac:dyDescent="0.2">
      <c r="B18" s="32"/>
      <c r="C18" s="44" t="s">
        <v>14</v>
      </c>
      <c r="D18" s="48">
        <v>0</v>
      </c>
      <c r="E18" s="49" t="s">
        <v>69</v>
      </c>
      <c r="F18" s="116"/>
      <c r="G18" s="98" t="s">
        <v>35</v>
      </c>
      <c r="H18" s="40">
        <v>0</v>
      </c>
      <c r="I18" s="41">
        <v>0</v>
      </c>
      <c r="L18" s="95"/>
    </row>
    <row r="19" spans="2:12" x14ac:dyDescent="0.2">
      <c r="B19" s="32"/>
      <c r="C19" s="44" t="s">
        <v>15</v>
      </c>
      <c r="D19" s="50"/>
      <c r="E19" s="51"/>
      <c r="F19" s="117"/>
      <c r="G19" s="98" t="s">
        <v>36</v>
      </c>
      <c r="H19" s="40">
        <v>1358605798.49</v>
      </c>
      <c r="I19" s="41">
        <v>2073554083</v>
      </c>
    </row>
    <row r="20" spans="2:12" x14ac:dyDescent="0.2">
      <c r="B20" s="37"/>
      <c r="C20" s="52" t="s">
        <v>16</v>
      </c>
      <c r="D20" s="53">
        <f>SUM(D12:D19)</f>
        <v>7844261700.6800003</v>
      </c>
      <c r="E20" s="54">
        <f>SUM(E12:E19)</f>
        <v>7486038682</v>
      </c>
      <c r="F20" s="118"/>
      <c r="G20" s="101" t="s">
        <v>15</v>
      </c>
      <c r="H20" s="55"/>
      <c r="I20" s="56"/>
    </row>
    <row r="21" spans="2:12" x14ac:dyDescent="0.2">
      <c r="B21" s="37"/>
      <c r="C21" s="100" t="s">
        <v>15</v>
      </c>
      <c r="D21" s="50"/>
      <c r="E21" s="51"/>
      <c r="F21" s="117"/>
      <c r="G21" s="102" t="s">
        <v>37</v>
      </c>
      <c r="H21" s="55">
        <f>SUM(H12:H20)</f>
        <v>4376458565.54</v>
      </c>
      <c r="I21" s="56">
        <f>SUM(I12:I20)</f>
        <v>5856026313</v>
      </c>
    </row>
    <row r="22" spans="2:12" x14ac:dyDescent="0.2">
      <c r="B22" s="32"/>
      <c r="C22" s="100" t="s">
        <v>17</v>
      </c>
      <c r="D22" s="50"/>
      <c r="E22" s="57"/>
      <c r="F22" s="119"/>
      <c r="G22" s="100" t="s">
        <v>15</v>
      </c>
      <c r="H22" s="58"/>
      <c r="I22" s="59"/>
    </row>
    <row r="23" spans="2:12" ht="22.5" x14ac:dyDescent="0.2">
      <c r="B23" s="60"/>
      <c r="C23" s="98" t="s">
        <v>18</v>
      </c>
      <c r="D23" s="42">
        <v>29349864706.130001</v>
      </c>
      <c r="E23" s="43">
        <v>29414575044</v>
      </c>
      <c r="F23" s="115"/>
      <c r="G23" s="100" t="s">
        <v>38</v>
      </c>
      <c r="H23" s="40"/>
      <c r="I23" s="41"/>
    </row>
    <row r="24" spans="2:12" ht="22.5" x14ac:dyDescent="0.2">
      <c r="B24" s="60"/>
      <c r="C24" s="98" t="s">
        <v>19</v>
      </c>
      <c r="D24" s="42">
        <v>180010314.5</v>
      </c>
      <c r="E24" s="43">
        <v>180010315</v>
      </c>
      <c r="F24" s="115"/>
      <c r="G24" s="98" t="s">
        <v>39</v>
      </c>
      <c r="H24" s="61">
        <v>0</v>
      </c>
      <c r="I24" s="62" t="s">
        <v>70</v>
      </c>
    </row>
    <row r="25" spans="2:12" ht="22.5" x14ac:dyDescent="0.2">
      <c r="B25" s="60"/>
      <c r="C25" s="98" t="s">
        <v>20</v>
      </c>
      <c r="D25" s="42">
        <v>27442681478.18</v>
      </c>
      <c r="E25" s="43">
        <v>19241661994</v>
      </c>
      <c r="F25" s="115"/>
      <c r="G25" s="101" t="s">
        <v>40</v>
      </c>
      <c r="H25" s="61">
        <v>0</v>
      </c>
      <c r="I25" s="62" t="s">
        <v>70</v>
      </c>
    </row>
    <row r="26" spans="2:12" x14ac:dyDescent="0.2">
      <c r="B26" s="37"/>
      <c r="C26" s="98" t="s">
        <v>21</v>
      </c>
      <c r="D26" s="42">
        <v>3844792782.0900002</v>
      </c>
      <c r="E26" s="43">
        <v>3272615058</v>
      </c>
      <c r="F26" s="115"/>
      <c r="G26" s="101" t="s">
        <v>41</v>
      </c>
      <c r="H26" s="61">
        <v>19468638374.919998</v>
      </c>
      <c r="I26" s="62">
        <v>19259970437</v>
      </c>
    </row>
    <row r="27" spans="2:12" x14ac:dyDescent="0.2">
      <c r="B27" s="47"/>
      <c r="C27" s="98" t="s">
        <v>22</v>
      </c>
      <c r="D27" s="42">
        <v>167337450.16</v>
      </c>
      <c r="E27" s="43">
        <v>137565630</v>
      </c>
      <c r="F27" s="115"/>
      <c r="G27" s="101" t="s">
        <v>42</v>
      </c>
      <c r="H27" s="61">
        <v>0</v>
      </c>
      <c r="I27" s="62" t="s">
        <v>70</v>
      </c>
    </row>
    <row r="28" spans="2:12" ht="33.75" x14ac:dyDescent="0.2">
      <c r="B28" s="60"/>
      <c r="C28" s="98" t="s">
        <v>23</v>
      </c>
      <c r="D28" s="63">
        <v>-1152792027.8699999</v>
      </c>
      <c r="E28" s="64">
        <v>-1136765904</v>
      </c>
      <c r="F28" s="120"/>
      <c r="G28" s="101" t="s">
        <v>43</v>
      </c>
      <c r="H28" s="61">
        <v>0</v>
      </c>
      <c r="I28" s="62" t="s">
        <v>70</v>
      </c>
    </row>
    <row r="29" spans="2:12" x14ac:dyDescent="0.2">
      <c r="B29" s="37"/>
      <c r="C29" s="98" t="s">
        <v>24</v>
      </c>
      <c r="D29" s="42">
        <v>32457644.670000002</v>
      </c>
      <c r="E29" s="43">
        <v>32457645</v>
      </c>
      <c r="F29" s="115"/>
      <c r="G29" s="101" t="s">
        <v>44</v>
      </c>
      <c r="H29" s="61">
        <v>0</v>
      </c>
      <c r="I29" s="62" t="s">
        <v>70</v>
      </c>
    </row>
    <row r="30" spans="2:12" ht="22.5" x14ac:dyDescent="0.2">
      <c r="B30" s="60"/>
      <c r="C30" s="98" t="s">
        <v>25</v>
      </c>
      <c r="D30" s="42">
        <v>0</v>
      </c>
      <c r="E30" s="43">
        <v>0</v>
      </c>
      <c r="F30" s="115"/>
      <c r="G30" s="101" t="s">
        <v>15</v>
      </c>
      <c r="H30" s="50"/>
      <c r="I30" s="59"/>
    </row>
    <row r="31" spans="2:12" x14ac:dyDescent="0.2">
      <c r="B31" s="60"/>
      <c r="C31" s="98" t="s">
        <v>26</v>
      </c>
      <c r="D31" s="42">
        <v>0</v>
      </c>
      <c r="E31" s="43">
        <v>0</v>
      </c>
      <c r="F31" s="115"/>
      <c r="G31" s="101" t="s">
        <v>15</v>
      </c>
      <c r="H31" s="55"/>
      <c r="I31" s="56"/>
    </row>
    <row r="32" spans="2:12" ht="12.75" customHeight="1" x14ac:dyDescent="0.2">
      <c r="B32" s="32"/>
      <c r="C32" s="98" t="s">
        <v>15</v>
      </c>
      <c r="D32" s="50"/>
      <c r="E32" s="51"/>
      <c r="F32" s="117"/>
      <c r="G32" s="65" t="s">
        <v>45</v>
      </c>
      <c r="H32" s="55">
        <f>SUM(H24:H31)</f>
        <v>19468638374.919998</v>
      </c>
      <c r="I32" s="56">
        <f>SUM(I24:I31)</f>
        <v>19259970437</v>
      </c>
    </row>
    <row r="33" spans="2:14" x14ac:dyDescent="0.2">
      <c r="B33" s="32"/>
      <c r="C33" s="102" t="s">
        <v>27</v>
      </c>
      <c r="D33" s="66">
        <f>SUM(D23:D32)</f>
        <v>59864352347.859993</v>
      </c>
      <c r="E33" s="129">
        <f>SUM(E23:E32)</f>
        <v>51142119782</v>
      </c>
      <c r="F33" s="118"/>
      <c r="G33" s="65" t="s">
        <v>15</v>
      </c>
      <c r="H33" s="67"/>
      <c r="I33" s="68"/>
    </row>
    <row r="34" spans="2:14" ht="24" customHeight="1" thickBot="1" x14ac:dyDescent="0.25">
      <c r="B34" s="32"/>
      <c r="C34" s="102" t="s">
        <v>63</v>
      </c>
      <c r="D34" s="69">
        <f>+D20+D33</f>
        <v>67708614048.539993</v>
      </c>
      <c r="E34" s="70">
        <f>+E20+E33</f>
        <v>58628158464</v>
      </c>
      <c r="F34" s="121"/>
      <c r="G34" s="103" t="s">
        <v>46</v>
      </c>
      <c r="H34" s="55">
        <f>+H32+H21</f>
        <v>23845096940.459999</v>
      </c>
      <c r="I34" s="56">
        <f>+I32+I21</f>
        <v>25115996750</v>
      </c>
    </row>
    <row r="35" spans="2:14" ht="13.5" thickTop="1" x14ac:dyDescent="0.2">
      <c r="B35" s="32"/>
      <c r="C35" s="102"/>
      <c r="D35" s="66"/>
      <c r="E35" s="54"/>
      <c r="F35" s="118"/>
      <c r="G35" s="98" t="s">
        <v>15</v>
      </c>
      <c r="H35" s="40"/>
      <c r="I35" s="41"/>
    </row>
    <row r="36" spans="2:14" x14ac:dyDescent="0.2">
      <c r="B36" s="32"/>
      <c r="C36" s="104" t="s">
        <v>15</v>
      </c>
      <c r="D36" s="71"/>
      <c r="E36" s="72"/>
      <c r="F36" s="122"/>
      <c r="G36" s="103" t="s">
        <v>47</v>
      </c>
      <c r="H36" s="40"/>
      <c r="I36" s="41"/>
    </row>
    <row r="37" spans="2:14" ht="22.5" x14ac:dyDescent="0.2">
      <c r="B37" s="32"/>
      <c r="C37" s="104" t="s">
        <v>15</v>
      </c>
      <c r="D37" s="71"/>
      <c r="E37" s="72"/>
      <c r="F37" s="122"/>
      <c r="G37" s="103" t="s">
        <v>48</v>
      </c>
      <c r="H37" s="73">
        <f>SUM(H38:H40)</f>
        <v>38362217724.279999</v>
      </c>
      <c r="I37" s="123">
        <f>SUM(I38:I40)</f>
        <v>38790949231</v>
      </c>
      <c r="L37" s="133"/>
    </row>
    <row r="38" spans="2:14" x14ac:dyDescent="0.2">
      <c r="B38" s="32"/>
      <c r="C38" s="104" t="s">
        <v>15</v>
      </c>
      <c r="D38" s="71"/>
      <c r="E38" s="72"/>
      <c r="F38" s="122"/>
      <c r="G38" s="98" t="s">
        <v>49</v>
      </c>
      <c r="H38" s="40">
        <v>38353046206.32</v>
      </c>
      <c r="I38" s="41">
        <v>38781777713</v>
      </c>
    </row>
    <row r="39" spans="2:14" x14ac:dyDescent="0.2">
      <c r="B39" s="32"/>
      <c r="C39" s="104" t="s">
        <v>15</v>
      </c>
      <c r="D39" s="71"/>
      <c r="E39" s="72"/>
      <c r="F39" s="122"/>
      <c r="G39" s="98" t="s">
        <v>50</v>
      </c>
      <c r="H39" s="40">
        <v>0</v>
      </c>
      <c r="I39" s="41">
        <v>0</v>
      </c>
    </row>
    <row r="40" spans="2:14" ht="22.5" x14ac:dyDescent="0.2">
      <c r="B40" s="32"/>
      <c r="C40" s="104" t="s">
        <v>15</v>
      </c>
      <c r="D40" s="71"/>
      <c r="E40" s="72"/>
      <c r="F40" s="122"/>
      <c r="G40" s="98" t="s">
        <v>51</v>
      </c>
      <c r="H40" s="40">
        <v>9171517.9600000009</v>
      </c>
      <c r="I40" s="41">
        <v>9171518</v>
      </c>
    </row>
    <row r="41" spans="2:14" x14ac:dyDescent="0.2">
      <c r="B41" s="32"/>
      <c r="C41" s="104" t="s">
        <v>15</v>
      </c>
      <c r="D41" s="71"/>
      <c r="E41" s="72"/>
      <c r="F41" s="122"/>
      <c r="G41" s="103" t="s">
        <v>15</v>
      </c>
      <c r="H41" s="40"/>
      <c r="I41" s="41"/>
    </row>
    <row r="42" spans="2:14" ht="22.5" x14ac:dyDescent="0.2">
      <c r="B42" s="32"/>
      <c r="C42" s="104" t="s">
        <v>15</v>
      </c>
      <c r="D42" s="71"/>
      <c r="E42" s="72"/>
      <c r="F42" s="122"/>
      <c r="G42" s="103" t="s">
        <v>52</v>
      </c>
      <c r="H42" s="73">
        <f>SUM(H43:H47)</f>
        <v>5501299383.8000031</v>
      </c>
      <c r="I42" s="123">
        <f>SUM(I43:I47)</f>
        <v>-5278787517</v>
      </c>
    </row>
    <row r="43" spans="2:14" ht="22.5" x14ac:dyDescent="0.2">
      <c r="B43" s="32"/>
      <c r="C43" s="104" t="s">
        <v>15</v>
      </c>
      <c r="D43" s="71"/>
      <c r="E43" s="72"/>
      <c r="F43" s="122"/>
      <c r="G43" s="105" t="s">
        <v>53</v>
      </c>
      <c r="H43" s="40">
        <v>8043321042.3299999</v>
      </c>
      <c r="I43" s="40">
        <v>8727304720</v>
      </c>
    </row>
    <row r="44" spans="2:14" x14ac:dyDescent="0.2">
      <c r="B44" s="32"/>
      <c r="C44" s="104" t="s">
        <v>15</v>
      </c>
      <c r="D44" s="71"/>
      <c r="E44" s="72"/>
      <c r="F44" s="122"/>
      <c r="G44" s="105" t="s">
        <v>54</v>
      </c>
      <c r="H44" s="40">
        <v>11975161710.1</v>
      </c>
      <c r="I44" s="40">
        <v>7741044823</v>
      </c>
      <c r="M44" s="131"/>
      <c r="N44" s="132"/>
    </row>
    <row r="45" spans="2:14" x14ac:dyDescent="0.2">
      <c r="B45" s="32"/>
      <c r="C45" s="104" t="s">
        <v>15</v>
      </c>
      <c r="D45" s="71"/>
      <c r="E45" s="72"/>
      <c r="F45" s="122"/>
      <c r="G45" s="98" t="s">
        <v>55</v>
      </c>
      <c r="H45" s="40">
        <v>6800104430.3299999</v>
      </c>
      <c r="I45" s="40">
        <v>0</v>
      </c>
    </row>
    <row r="46" spans="2:14" x14ac:dyDescent="0.2">
      <c r="B46" s="32"/>
      <c r="C46" s="104" t="s">
        <v>15</v>
      </c>
      <c r="D46" s="71"/>
      <c r="E46" s="72"/>
      <c r="F46" s="122"/>
      <c r="G46" s="98" t="s">
        <v>56</v>
      </c>
      <c r="H46" s="40">
        <v>0</v>
      </c>
      <c r="I46" s="40">
        <v>0</v>
      </c>
    </row>
    <row r="47" spans="2:14" ht="22.5" x14ac:dyDescent="0.2">
      <c r="B47" s="32"/>
      <c r="C47" s="104" t="s">
        <v>15</v>
      </c>
      <c r="D47" s="71"/>
      <c r="E47" s="72"/>
      <c r="F47" s="122"/>
      <c r="G47" s="98" t="s">
        <v>57</v>
      </c>
      <c r="H47" s="74">
        <v>-21317287798.959999</v>
      </c>
      <c r="I47" s="74">
        <v>-21747137060</v>
      </c>
    </row>
    <row r="48" spans="2:14" x14ac:dyDescent="0.2">
      <c r="B48" s="32"/>
      <c r="C48" s="104" t="s">
        <v>15</v>
      </c>
      <c r="D48" s="71"/>
      <c r="E48" s="75"/>
      <c r="F48" s="122"/>
      <c r="G48" s="96" t="s">
        <v>15</v>
      </c>
      <c r="H48" s="55"/>
      <c r="I48" s="106"/>
    </row>
    <row r="49" spans="2:12" ht="33.75" x14ac:dyDescent="0.2">
      <c r="B49" s="32"/>
      <c r="C49" s="104" t="s">
        <v>15</v>
      </c>
      <c r="D49" s="71"/>
      <c r="E49" s="75"/>
      <c r="F49" s="122"/>
      <c r="G49" s="96" t="s">
        <v>58</v>
      </c>
      <c r="H49" s="67">
        <v>0</v>
      </c>
      <c r="I49" s="107">
        <v>0</v>
      </c>
    </row>
    <row r="50" spans="2:12" x14ac:dyDescent="0.2">
      <c r="B50" s="32"/>
      <c r="C50" s="108" t="s">
        <v>15</v>
      </c>
      <c r="D50" s="76"/>
      <c r="E50" s="34"/>
      <c r="F50" s="113"/>
      <c r="G50" s="77" t="s">
        <v>59</v>
      </c>
      <c r="H50" s="78">
        <v>0</v>
      </c>
      <c r="I50" s="36">
        <v>0</v>
      </c>
    </row>
    <row r="51" spans="2:12" ht="22.5" x14ac:dyDescent="0.2">
      <c r="B51" s="37"/>
      <c r="C51" s="97" t="s">
        <v>15</v>
      </c>
      <c r="D51" s="79"/>
      <c r="E51" s="34"/>
      <c r="F51" s="113"/>
      <c r="G51" s="98" t="s">
        <v>60</v>
      </c>
      <c r="H51" s="58">
        <v>0</v>
      </c>
      <c r="I51" s="36">
        <v>0</v>
      </c>
    </row>
    <row r="52" spans="2:12" x14ac:dyDescent="0.2">
      <c r="B52" s="32"/>
      <c r="C52" s="97" t="s">
        <v>15</v>
      </c>
      <c r="D52" s="79"/>
      <c r="E52" s="34"/>
      <c r="F52" s="113"/>
      <c r="G52" s="103" t="s">
        <v>15</v>
      </c>
      <c r="H52" s="58"/>
      <c r="I52" s="36"/>
    </row>
    <row r="53" spans="2:12" ht="22.5" x14ac:dyDescent="0.2">
      <c r="B53" s="37"/>
      <c r="C53" s="97" t="s">
        <v>15</v>
      </c>
      <c r="D53" s="42"/>
      <c r="E53" s="43"/>
      <c r="F53" s="115"/>
      <c r="G53" s="103" t="s">
        <v>61</v>
      </c>
      <c r="H53" s="55">
        <f>+H37+H42</f>
        <v>43863517108.080002</v>
      </c>
      <c r="I53" s="56">
        <f>+I37+I42</f>
        <v>33512161714</v>
      </c>
    </row>
    <row r="54" spans="2:12" x14ac:dyDescent="0.2">
      <c r="B54" s="37"/>
      <c r="C54" s="97" t="s">
        <v>15</v>
      </c>
      <c r="D54" s="42"/>
      <c r="E54" s="43"/>
      <c r="F54" s="115"/>
      <c r="G54" s="103" t="s">
        <v>15</v>
      </c>
      <c r="H54" s="40"/>
      <c r="I54" s="41"/>
    </row>
    <row r="55" spans="2:12" ht="23.25" thickBot="1" x14ac:dyDescent="0.25">
      <c r="B55" s="37"/>
      <c r="C55" s="97" t="s">
        <v>15</v>
      </c>
      <c r="D55" s="42"/>
      <c r="E55" s="43"/>
      <c r="F55" s="115"/>
      <c r="G55" s="103" t="s">
        <v>62</v>
      </c>
      <c r="H55" s="80">
        <f>+H34+H53</f>
        <v>67708614048.540001</v>
      </c>
      <c r="I55" s="80">
        <f>+I34+I53</f>
        <v>58628158464</v>
      </c>
      <c r="L55" s="31"/>
    </row>
    <row r="56" spans="2:12" ht="13.5" thickTop="1" x14ac:dyDescent="0.2">
      <c r="B56" s="37"/>
      <c r="C56" s="81"/>
      <c r="D56" s="42"/>
      <c r="E56" s="43"/>
      <c r="F56" s="115"/>
      <c r="G56" s="103"/>
      <c r="H56" s="40"/>
      <c r="I56" s="41"/>
    </row>
    <row r="57" spans="2:12" ht="13.5" thickBot="1" x14ac:dyDescent="0.25">
      <c r="B57" s="82"/>
      <c r="C57" s="130"/>
      <c r="D57" s="83"/>
      <c r="E57" s="84"/>
      <c r="F57" s="124"/>
      <c r="G57" s="125"/>
      <c r="H57" s="85"/>
      <c r="I57" s="86"/>
    </row>
    <row r="58" spans="2:12" x14ac:dyDescent="0.2">
      <c r="H58" s="31"/>
      <c r="I58" s="31"/>
    </row>
    <row r="59" spans="2:12" x14ac:dyDescent="0.2">
      <c r="H59" s="5"/>
      <c r="I59" s="5"/>
    </row>
    <row r="60" spans="2:12" ht="25.5" customHeight="1" x14ac:dyDescent="0.2">
      <c r="B60" t="s">
        <v>0</v>
      </c>
      <c r="G60" s="137" t="s">
        <v>68</v>
      </c>
      <c r="H60" s="137"/>
      <c r="I60" s="137"/>
    </row>
    <row r="61" spans="2:12" x14ac:dyDescent="0.2">
      <c r="H61" s="11"/>
    </row>
    <row r="62" spans="2:12" x14ac:dyDescent="0.2">
      <c r="H62" s="12"/>
    </row>
    <row r="64" spans="2:12" ht="13.5" thickBot="1" x14ac:dyDescent="0.25">
      <c r="C64" s="30"/>
      <c r="D64" s="30"/>
      <c r="G64" s="30"/>
      <c r="H64" s="30"/>
    </row>
    <row r="65" spans="2:8" ht="15.75" customHeight="1" x14ac:dyDescent="0.2">
      <c r="C65" s="135" t="s">
        <v>65</v>
      </c>
      <c r="D65" s="135"/>
      <c r="G65" s="135" t="s">
        <v>66</v>
      </c>
      <c r="H65" s="135"/>
    </row>
    <row r="66" spans="2:8" ht="15.75" customHeight="1" x14ac:dyDescent="0.2">
      <c r="C66" s="135" t="s">
        <v>2</v>
      </c>
      <c r="D66" s="135"/>
      <c r="G66" s="136" t="s">
        <v>71</v>
      </c>
      <c r="H66" s="136"/>
    </row>
    <row r="69" spans="2:8" ht="15" x14ac:dyDescent="0.25">
      <c r="B69" s="15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>
        <f>[1]!BexGetCellData("003N8D85VN5WHY95OZ9S05CNN","","DP_2")</f>
        <v>2021</v>
      </c>
      <c r="C1" s="10" t="str">
        <f>[1]!BexGetCellData("003N8D85VN5Y88OYUKVCK6RBE","","DP_2")</f>
        <v>'2020</v>
      </c>
    </row>
    <row r="2" spans="1:3" x14ac:dyDescent="0.2">
      <c r="A2" s="10" t="str">
        <f>[1]!BexGetCellData("","003N8D85VN5WHXYYGMBJV0SGC","DP_2")</f>
        <v>Activo</v>
      </c>
      <c r="B2" s="8" t="str">
        <f>[1]!BexGetCellData("003N8D85VN5WHY95OZ9S05CNN","003N8D85VN5WHXYYGMBJV0SGC","DP_2")</f>
        <v>#NV</v>
      </c>
      <c r="C2" s="8" t="str">
        <f>[1]!BexGetCellData("003N8D85VN5Y88OYUKVCK6RBE","003N8D85VN5WHXYYGMBJV0SGC","DP_2")</f>
        <v>#NV</v>
      </c>
    </row>
    <row r="3" spans="1:3" x14ac:dyDescent="0.2">
      <c r="A3" s="10" t="str">
        <f>[1]!BexGetCellData("","003N8D85VN5WHXYYHQTX0GZDH","DP_2")</f>
        <v xml:space="preserve">  Activo Circulante</v>
      </c>
      <c r="B3" s="8" t="str">
        <f>[1]!BexGetCellData("003N8D85VN5WHY95OZ9S05CNN","003N8D85VN5WHXYYHQTX0GZDH","DP_2")</f>
        <v>#NV</v>
      </c>
      <c r="C3" s="8" t="str">
        <f>[1]!BexGetCellData("003N8D85VN5Y88OYUKVCK6RBE","003N8D85VN5WHXYYHQTX0GZDH","DP_2")</f>
        <v>#NV</v>
      </c>
    </row>
    <row r="4" spans="1:3" x14ac:dyDescent="0.2">
      <c r="A4" s="10" t="str">
        <f>[1]!BexGetCellData("","003N8D85VN5WHXYYIHA312Z2T","DP_2")</f>
        <v xml:space="preserve">    Efectivo y Equivalentes</v>
      </c>
      <c r="B4" s="6" t="str">
        <f>[1]!BexGetCellData("003N8D85VN5WHY95OZ9S05CNN","003N8D85VN5WHXYYIHA312Z2T","DP_2")</f>
        <v>#NV</v>
      </c>
      <c r="C4" s="6" t="str">
        <f>[1]!BexGetCellData("003N8D85VN5Y88OYUKVCK6RBE","003N8D85VN5WHXYYIHA312Z2T","DP_2")</f>
        <v>#NV</v>
      </c>
    </row>
    <row r="5" spans="1:3" x14ac:dyDescent="0.2">
      <c r="A5" s="10" t="str">
        <f>[1]!BexGetCellData("","003N8D85VN5WHXYYJFH6AB0UT","DP_2")</f>
        <v xml:space="preserve">    Derechos a Recibir Efectivo o Equivalentes</v>
      </c>
      <c r="B5" s="6" t="str">
        <f>[1]!BexGetCellData("003N8D85VN5WHY95OZ9S05CNN","003N8D85VN5WHXYYJFH6AB0UT","DP_2")</f>
        <v>#NV</v>
      </c>
      <c r="C5" s="6" t="str">
        <f>[1]!BexGetCellData("003N8D85VN5Y88OYUKVCK6RBE","003N8D85VN5WHXYYJFH6AB0UT","DP_2")</f>
        <v>#NV</v>
      </c>
    </row>
    <row r="6" spans="1:3" x14ac:dyDescent="0.2">
      <c r="A6" s="10" t="str">
        <f>[1]!BexGetCellData("","003N8D85VN5WHXYYK9UP6GOPK","DP_2")</f>
        <v xml:space="preserve">    Derechos a Recibir Bienes o Servicios</v>
      </c>
      <c r="B6" s="6" t="str">
        <f>[1]!BexGetCellData("003N8D85VN5WHY95OZ9S05CNN","003N8D85VN5WHXYYK9UP6GOPK","DP_2")</f>
        <v>#NV</v>
      </c>
      <c r="C6" s="6" t="str">
        <f>[1]!BexGetCellData("003N8D85VN5Y88OYUKVCK6RBE","003N8D85VN5WHXYYK9UP6GOPK","DP_2")</f>
        <v>#NV</v>
      </c>
    </row>
    <row r="7" spans="1:3" x14ac:dyDescent="0.2">
      <c r="A7" s="10" t="str">
        <f>[1]!BexGetCellData("","003N8D85VN5WHXYYKUQD6W1SO","DP_2")</f>
        <v xml:space="preserve">    Inventarios</v>
      </c>
      <c r="B7" s="7" t="str">
        <f>[1]!BexGetCellData("003N8D85VN5WHY95OZ9S05CNN","003N8D85VN5WHXYYKUQD6W1SO","DP_2")</f>
        <v>#NV</v>
      </c>
      <c r="C7" s="8" t="str">
        <f>[1]!BexGetCellData("003N8D85VN5Y88OYUKVCK6RBE","003N8D85VN5WHXYYKUQD6W1SO","DP_2")</f>
        <v>#NV</v>
      </c>
    </row>
    <row r="8" spans="1:3" x14ac:dyDescent="0.2">
      <c r="A8" s="10" t="str">
        <f>[1]!BexGetCellData("","003N8D85VN5WHXYYLGK325FDM","DP_2")</f>
        <v xml:space="preserve">    Almacenes</v>
      </c>
      <c r="B8" s="6" t="str">
        <f>[1]!BexGetCellData("003N8D85VN5WHY95OZ9S05CNN","003N8D85VN5WHXYYLGK325FDM","DP_2")</f>
        <v>#NV</v>
      </c>
      <c r="C8" s="6" t="str">
        <f>[1]!BexGetCellData("003N8D85VN5Y88OYUKVCK6RBE","003N8D85VN5WHXYYLGK325FDM","DP_2")</f>
        <v>#NV</v>
      </c>
    </row>
    <row r="9" spans="1:3" x14ac:dyDescent="0.2">
      <c r="A9" s="10" t="str">
        <f>[1]!BexGetCellData("","003N8D85VN5WHXYYM00MY6RKQ","DP_2")</f>
        <v xml:space="preserve">    Estimación por Pérdida o Deterioro de Activos Circulante</v>
      </c>
      <c r="B9" s="7" t="str">
        <f>[1]!BexGetCellData("003N8D85VN5WHY95OZ9S05CNN","003N8D85VN5WHXYYM00MY6RKQ","DP_2")</f>
        <v>#NV</v>
      </c>
      <c r="C9" s="8" t="str">
        <f>[1]!BexGetCellData("003N8D85VN5Y88OYUKVCK6RBE","003N8D85VN5WHXYYM00MY6RKQ","DP_2")</f>
        <v>#NV</v>
      </c>
    </row>
    <row r="10" spans="1:3" x14ac:dyDescent="0.2">
      <c r="A10" s="10" t="str">
        <f>[1]!BexGetCellData("","003N8D85VN5WHXYYMNG18MZVE","DP_2")</f>
        <v xml:space="preserve">    Otros Activos Circulantes</v>
      </c>
      <c r="B10" s="7" t="str">
        <f>[1]!BexGetCellData("003N8D85VN5WHY95OZ9S05CNN","003N8D85VN5WHXYYMNG18MZVE","DP_2")</f>
        <v>#NV</v>
      </c>
      <c r="C10" s="6" t="str">
        <f>[1]!BexGetCellData("003N8D85VN5Y88OYUKVCK6RBE","003N8D85VN5WHXYYMNG18MZVE","DP_2")</f>
        <v>#NV</v>
      </c>
    </row>
    <row r="11" spans="1:3" x14ac:dyDescent="0.2">
      <c r="A11" s="10" t="str">
        <f>[1]!BexGetCellData("","003N8D85VN5WHY982ZBRCCOPL","DP_2")</f>
        <v xml:space="preserve">  Total de Activos Circulantes</v>
      </c>
      <c r="B11" s="6" t="str">
        <f>[1]!BexGetCellData("003N8D85VN5WHY95OZ9S05CNN","003N8D85VN5WHY982ZBRCCOPL","DP_2")</f>
        <v>#NV</v>
      </c>
      <c r="C11" s="6" t="str">
        <f>[1]!BexGetCellData("003N8D85VN5Y88OYUKVCK6RBE","003N8D85VN5WHY982ZBRCCOPL","DP_2")</f>
        <v>#NV</v>
      </c>
    </row>
    <row r="12" spans="1:3" x14ac:dyDescent="0.2">
      <c r="A12" s="10" t="str">
        <f>[1]!BexGetCellData("","003N8D85VN5WHY8XRC4EJO2A6","DP_2")</f>
        <v xml:space="preserve">  Activo No Circulante</v>
      </c>
      <c r="B12" s="8" t="str">
        <f>[1]!BexGetCellData("003N8D85VN5WHY95OZ9S05CNN","003N8D85VN5WHY8XRC4EJO2A6","DP_2")</f>
        <v>#NV</v>
      </c>
      <c r="C12" s="8" t="str">
        <f>[1]!BexGetCellData("003N8D85VN5Y88OYUKVCK6RBE","003N8D85VN5WHY8XRC4EJO2A6","DP_2")</f>
        <v>#NV</v>
      </c>
    </row>
    <row r="13" spans="1:3" x14ac:dyDescent="0.2">
      <c r="A13" s="10" t="str">
        <f>[1]!BexGetCellData("","003N8D85VN5WHY8XSMJG84OEO","DP_2")</f>
        <v xml:space="preserve">    Inversiones Financieras a Largo Plazo</v>
      </c>
      <c r="B13" s="6" t="str">
        <f>[1]!BexGetCellData("003N8D85VN5WHY95OZ9S05CNN","003N8D85VN5WHY8XSMJG84OEO","DP_2")</f>
        <v>#NV</v>
      </c>
      <c r="C13" s="6" t="str">
        <f>[1]!BexGetCellData("003N8D85VN5Y88OYUKVCK6RBE","003N8D85VN5WHY8XSMJG84OEO","DP_2")</f>
        <v>#NV</v>
      </c>
    </row>
    <row r="14" spans="1:3" x14ac:dyDescent="0.2">
      <c r="A14" s="10" t="str">
        <f>[1]!BexGetCellData("","003N8D85VN5WHY8XTPY9O3YC0","DP_2")</f>
        <v xml:space="preserve">    Derechos a Recibir Efectivo o Equivalentes a Largo Plazo</v>
      </c>
      <c r="B14" s="6" t="str">
        <f>[1]!BexGetCellData("003N8D85VN5WHY95OZ9S05CNN","003N8D85VN5WHY8XTPY9O3YC0","DP_2")</f>
        <v>#NV</v>
      </c>
      <c r="C14" s="6" t="str">
        <f>[1]!BexGetCellData("003N8D85VN5Y88OYUKVCK6RBE","003N8D85VN5WHY8XTPY9O3YC0","DP_2")</f>
        <v>#NV</v>
      </c>
    </row>
    <row r="15" spans="1:3" x14ac:dyDescent="0.2">
      <c r="A15" s="10" t="str">
        <f>[1]!BexGetCellData("","003N8D85VN5WHY8XUMAM086U3","DP_2")</f>
        <v xml:space="preserve">    Bienes Inmuebles, Infraestructura y Construcciones en Pr</v>
      </c>
      <c r="B15" s="6" t="str">
        <f>[1]!BexGetCellData("003N8D85VN5WHY95OZ9S05CNN","003N8D85VN5WHY8XUMAM086U3","DP_2")</f>
        <v>#NV</v>
      </c>
      <c r="C15" s="6" t="str">
        <f>[1]!BexGetCellData("003N8D85VN5Y88OYUKVCK6RBE","003N8D85VN5WHY8XUMAM086U3","DP_2")</f>
        <v>#NV</v>
      </c>
    </row>
    <row r="16" spans="1:3" x14ac:dyDescent="0.2">
      <c r="A16" s="10" t="str">
        <f>[1]!BexGetCellData("","003N8D85VN5WHY8XXSRX4Y00S","DP_2")</f>
        <v xml:space="preserve">    Bienes Muebles</v>
      </c>
      <c r="B16" s="6" t="str">
        <f>[1]!BexGetCellData("003N8D85VN5WHY95OZ9S05CNN","003N8D85VN5WHY8XXSRX4Y00S","DP_2")</f>
        <v>#NV</v>
      </c>
      <c r="C16" s="6" t="str">
        <f>[1]!BexGetCellData("003N8D85VN5Y88OYUKVCK6RBE","003N8D85VN5WHY8XXSRX4Y00S","DP_2")</f>
        <v>#NV</v>
      </c>
    </row>
    <row r="17" spans="1:3" x14ac:dyDescent="0.2">
      <c r="A17" s="10" t="str">
        <f>[1]!BexGetCellData("","003N8D85VN5WHY8XYL34N049R","DP_2")</f>
        <v xml:space="preserve">    Activos Intangibles</v>
      </c>
      <c r="B17" s="6" t="str">
        <f>[1]!BexGetCellData("003N8D85VN5WHY95OZ9S05CNN","003N8D85VN5WHY8XYL34N049R","DP_2")</f>
        <v>#NV</v>
      </c>
      <c r="C17" s="6" t="str">
        <f>[1]!BexGetCellData("003N8D85VN5Y88OYUKVCK6RBE","003N8D85VN5WHY8XYL34N049R","DP_2")</f>
        <v>#NV</v>
      </c>
    </row>
    <row r="18" spans="1:3" x14ac:dyDescent="0.2">
      <c r="A18" s="10" t="str">
        <f>[1]!BexGetCellData("","003N8D85VN5WHY8YD4DQ8QRBA","DP_2")</f>
        <v xml:space="preserve">    Depreciación, Deterioro y Amortización Acumulada de Bien</v>
      </c>
      <c r="B18" s="6" t="str">
        <f>[1]!BexGetCellData("003N8D85VN5WHY95OZ9S05CNN","003N8D85VN5WHY8YD4DQ8QRBA","DP_2")</f>
        <v>#NV</v>
      </c>
      <c r="C18" s="6" t="str">
        <f>[1]!BexGetCellData("003N8D85VN5Y88OYUKVCK6RBE","003N8D85VN5WHY8YD4DQ8QRBA","DP_2")</f>
        <v>#NV</v>
      </c>
    </row>
    <row r="19" spans="1:3" x14ac:dyDescent="0.2">
      <c r="A19" s="10" t="str">
        <f>[1]!BexGetCellData("","003N8D85VN5WHY8YD4DQ8QXMU","DP_2")</f>
        <v xml:space="preserve">    Activos Diferidos</v>
      </c>
      <c r="B19" s="6" t="str">
        <f>[1]!BexGetCellData("003N8D85VN5WHY95OZ9S05CNN","003N8D85VN5WHY8YD4DQ8QXMU","DP_2")</f>
        <v>#NV</v>
      </c>
      <c r="C19" s="6" t="str">
        <f>[1]!BexGetCellData("003N8D85VN5Y88OYUKVCK6RBE","003N8D85VN5WHY8YD4DQ8QXMU","DP_2")</f>
        <v>#NV</v>
      </c>
    </row>
    <row r="20" spans="1:3" x14ac:dyDescent="0.2">
      <c r="A20" s="10" t="str">
        <f>[1]!BexGetCellData("","003N8D85VN5WHY8YDWUARZIRR","DP_2")</f>
        <v xml:space="preserve">    Estimación por Pérdida o Deterioro de Activos no Circula</v>
      </c>
      <c r="B20" s="7" t="str">
        <f>[1]!BexGetCellData("003N8D85VN5WHY95OZ9S05CNN","003N8D85VN5WHY8YDWUARZIRR","DP_2")</f>
        <v>#NV</v>
      </c>
      <c r="C20" s="8" t="str">
        <f>[1]!BexGetCellData("003N8D85VN5Y88OYUKVCK6RBE","003N8D85VN5WHY8YDWUARZIRR","DP_2")</f>
        <v>#NV</v>
      </c>
    </row>
    <row r="21" spans="1:3" x14ac:dyDescent="0.2">
      <c r="A21" s="10" t="str">
        <f>[1]!BexGetCellData("","003N8D85VN5WHY8YEO01MMKSN","DP_2")</f>
        <v xml:space="preserve">    Otros Activos no Circulantes</v>
      </c>
      <c r="B21" s="7" t="str">
        <f>[1]!BexGetCellData("003N8D85VN5WHY95OZ9S05CNN","003N8D85VN5WHY8YEO01MMKSN","DP_2")</f>
        <v>#NV</v>
      </c>
      <c r="C21" s="8" t="str">
        <f>[1]!BexGetCellData("003N8D85VN5Y88OYUKVCK6RBE","003N8D85VN5WHY8YEO01MMKSN","DP_2")</f>
        <v>#NV</v>
      </c>
    </row>
    <row r="22" spans="1:3" x14ac:dyDescent="0.2">
      <c r="A22" s="10" t="str">
        <f>[1]!BexGetCellData("","003N8D85VN5WHY984PA514PP8","DP_2")</f>
        <v xml:space="preserve">  Total de Activos No Circulantes</v>
      </c>
      <c r="B22" s="6" t="str">
        <f>[1]!BexGetCellData("003N8D85VN5WHY95OZ9S05CNN","003N8D85VN5WHY984PA514PP8","DP_2")</f>
        <v>#NV</v>
      </c>
      <c r="C22" s="6" t="str">
        <f>[1]!BexGetCellData("003N8D85VN5Y88OYUKVCK6RBE","003N8D85VN5WHY984PA514PP8","DP_2")</f>
        <v>#NV</v>
      </c>
    </row>
    <row r="23" spans="1:3" x14ac:dyDescent="0.2">
      <c r="A23" s="10" t="str">
        <f>[1]!BexGetCellData("","003N8D85VN5WHY985LPIE2C65","DP_2")</f>
        <v>Total de Activos</v>
      </c>
      <c r="B23" s="6" t="str">
        <f>[1]!BexGetCellData("003N8D85VN5WHY95OZ9S05CNN","003N8D85VN5WHY985LPIE2C65","DP_2")</f>
        <v>#NV</v>
      </c>
      <c r="C23" s="6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str">
        <f>[1]!BexGetCellData("003N8D85VN5Y88UOCOONXLKGG","","DP_3")</f>
        <v>'2021</v>
      </c>
      <c r="C1" s="10" t="str">
        <f>[1]!BexGetCellData("003N8D85VN5Y88UOCOONXLQS0","","DP_3")</f>
        <v>'2020</v>
      </c>
    </row>
    <row r="2" spans="1:3" x14ac:dyDescent="0.2">
      <c r="A2" s="10" t="str">
        <f>[1]!BexGetCellData("","003N8D85VN5Y88UOCOONX9SY8","DP_3")</f>
        <v>Pasivo</v>
      </c>
      <c r="B2" s="8" t="str">
        <f>[1]!BexGetCellData("003N8D85VN5Y88UOCOONXLKGG","003N8D85VN5Y88UOCOONX9SY8","DP_3")</f>
        <v>#NV</v>
      </c>
      <c r="C2" s="8" t="str">
        <f>[1]!BexGetCellData("003N8D85VN5Y88UOCOONXLQS0","003N8D85VN5Y88UOCOONX9SY8","DP_3")</f>
        <v>#NV</v>
      </c>
    </row>
    <row r="3" spans="1:3" x14ac:dyDescent="0.2">
      <c r="A3" s="10" t="str">
        <f>[1]!BexGetCellData("","003N8D85VN5Y88UOCOONXABWW","DP_3")</f>
        <v xml:space="preserve">  Pasivo Circulante</v>
      </c>
      <c r="B3" s="8" t="str">
        <f>[1]!BexGetCellData("003N8D85VN5Y88UOCOONXLKGG","003N8D85VN5Y88UOCOONXABWW","DP_3")</f>
        <v>#NV</v>
      </c>
      <c r="C3" s="8" t="str">
        <f>[1]!BexGetCellData("003N8D85VN5Y88UOCOONXLQS0","003N8D85VN5Y88UOCOONXABWW","DP_3")</f>
        <v>#NV</v>
      </c>
    </row>
    <row r="4" spans="1:3" x14ac:dyDescent="0.2">
      <c r="A4" s="10" t="str">
        <f>[1]!BexGetCellData("","003N8D85VN5Y88UOCOONXAUVK","DP_3")</f>
        <v xml:space="preserve">    Cuentas por Pagar a Corto Plazo</v>
      </c>
      <c r="B4" s="13" t="str">
        <f>[1]!BexGetCellData("003N8D85VN5Y88UOCOONXLKGG","003N8D85VN5Y88UOCOONXAUVK","DP_3")</f>
        <v>#NV</v>
      </c>
      <c r="C4" s="6" t="str">
        <f>[1]!BexGetCellData("003N8D85VN5Y88UOCOONXLQS0","003N8D85VN5Y88UOCOONXAUVK","DP_3")</f>
        <v>#NV</v>
      </c>
    </row>
    <row r="5" spans="1:3" x14ac:dyDescent="0.2">
      <c r="A5" s="10" t="str">
        <f>[1]!BexGetCellData("","003N8D85VN5Y88UOCOONXBDU8","DP_3")</f>
        <v xml:space="preserve">    Documentos por Pagar a Corto Plazo</v>
      </c>
      <c r="B5" s="13" t="str">
        <f>[1]!BexGetCellData("003N8D85VN5Y88UOCOONXLKGG","003N8D85VN5Y88UOCOONXBDU8","DP_3")</f>
        <v>#NV</v>
      </c>
      <c r="C5" s="6" t="str">
        <f>[1]!BexGetCellData("003N8D85VN5Y88UOCOONXLQS0","003N8D85VN5Y88UOCOONXBDU8","DP_3")</f>
        <v>#NV</v>
      </c>
    </row>
    <row r="6" spans="1:3" x14ac:dyDescent="0.2">
      <c r="A6" s="10" t="str">
        <f>[1]!BexGetCellData("","003N8D85VN5Y88UOCOONXBWSW","DP_3")</f>
        <v xml:space="preserve">    Porción a Corto Plazo de la Deuda Pública</v>
      </c>
      <c r="B6" s="13" t="str">
        <f>[1]!BexGetCellData("003N8D85VN5Y88UOCOONXLKGG","003N8D85VN5Y88UOCOONXBWSW","DP_3")</f>
        <v>#NV</v>
      </c>
      <c r="C6" s="6" t="str">
        <f>[1]!BexGetCellData("003N8D85VN5Y88UOCOONXLQS0","003N8D85VN5Y88UOCOONXBWSW","DP_3")</f>
        <v>#NV</v>
      </c>
    </row>
    <row r="7" spans="1:3" x14ac:dyDescent="0.2">
      <c r="A7" s="10" t="str">
        <f>[1]!BexGetCellData("","003N8D85VN5Y88UOCOONXCFRK","DP_3")</f>
        <v xml:space="preserve">    Títulos y Valores a Corto Plazo</v>
      </c>
      <c r="B7" s="14" t="str">
        <f>[1]!BexGetCellData("003N8D85VN5Y88UOCOONXLKGG","003N8D85VN5Y88UOCOONXCFRK","DP_3")</f>
        <v>#NV</v>
      </c>
      <c r="C7" s="8" t="str">
        <f>[1]!BexGetCellData("003N8D85VN5Y88UOCOONXLQS0","003N8D85VN5Y88UOCOONXCFRK","DP_3")</f>
        <v>#NV</v>
      </c>
    </row>
    <row r="8" spans="1:3" x14ac:dyDescent="0.2">
      <c r="A8" s="10" t="str">
        <f>[1]!BexGetCellData("","003N8D85VN5Y88UOCOONXCYQ8","DP_3")</f>
        <v xml:space="preserve">    Pasivos Diferidos a Corto Plazo</v>
      </c>
      <c r="B8" s="14" t="str">
        <f>[1]!BexGetCellData("003N8D85VN5Y88UOCOONXLKGG","003N8D85VN5Y88UOCOONXCYQ8","DP_3")</f>
        <v>#NV</v>
      </c>
      <c r="C8" s="8" t="str">
        <f>[1]!BexGetCellData("003N8D85VN5Y88UOCOONXLQS0","003N8D85VN5Y88UOCOONXCYQ8","DP_3")</f>
        <v>#NV</v>
      </c>
    </row>
    <row r="9" spans="1:3" x14ac:dyDescent="0.2">
      <c r="A9" s="10" t="str">
        <f>[1]!BexGetCellData("","003N8D85VN5Y88UOCOONXDHOW","DP_3")</f>
        <v xml:space="preserve">    Fondos y Bienes de Terceros en Garantía</v>
      </c>
      <c r="B9" s="13" t="str">
        <f>[1]!BexGetCellData("003N8D85VN5Y88UOCOONXLKGG","003N8D85VN5Y88UOCOONXDHOW","DP_3")</f>
        <v>#NV</v>
      </c>
      <c r="C9" s="6" t="str">
        <f>[1]!BexGetCellData("003N8D85VN5Y88UOCOONXLQS0","003N8D85VN5Y88UOCOONXDHOW","DP_3")</f>
        <v>#NV</v>
      </c>
    </row>
    <row r="10" spans="1:3" x14ac:dyDescent="0.2">
      <c r="A10" s="10" t="str">
        <f>[1]!BexGetCellData("","003N8D85VN5Y88UOCOONXE0NK","DP_3")</f>
        <v xml:space="preserve">    Provisiones a Corto Plazo</v>
      </c>
      <c r="B10" s="14" t="str">
        <f>[1]!BexGetCellData("003N8D85VN5Y88UOCOONXLKGG","003N8D85VN5Y88UOCOONXE0NK","DP_3")</f>
        <v>#NV</v>
      </c>
      <c r="C10" s="8" t="str">
        <f>[1]!BexGetCellData("003N8D85VN5Y88UOCOONXLQS0","003N8D85VN5Y88UOCOONXE0NK","DP_3")</f>
        <v>#NV</v>
      </c>
    </row>
    <row r="11" spans="1:3" x14ac:dyDescent="0.2">
      <c r="A11" s="10" t="str">
        <f>[1]!BexGetCellData("","003N8D85VN5Y88UP9X1R0PM45","DP_3")</f>
        <v xml:space="preserve">    Otros Pasivos a Corto Plazo</v>
      </c>
      <c r="B11" s="13" t="str">
        <f>[1]!BexGetCellData("003N8D85VN5Y88UOCOONXLKGG","003N8D85VN5Y88UP9X1R0PM45","DP_3")</f>
        <v>#NV</v>
      </c>
      <c r="C11" s="6" t="str">
        <f>[1]!BexGetCellData("003N8D85VN5Y88UOCOONXLQS0","003N8D85VN5Y88UP9X1R0PM45","DP_3")</f>
        <v>#NV</v>
      </c>
    </row>
    <row r="12" spans="1:3" x14ac:dyDescent="0.2">
      <c r="A12" s="10" t="str">
        <f>[1]!BexGetCellData("","003N8D85VN5Y88UOCOONXEJM8","DP_3")</f>
        <v xml:space="preserve">  Total de Pasivos Circulantes</v>
      </c>
      <c r="B12" s="13" t="str">
        <f>[1]!BexGetCellData("003N8D85VN5Y88UOCOONXLKGG","003N8D85VN5Y88UOCOONXEJM8","DP_3")</f>
        <v>#NV</v>
      </c>
      <c r="C12" s="6" t="str">
        <f>[1]!BexGetCellData("003N8D85VN5Y88UOCOONXLQS0","003N8D85VN5Y88UOCOONXEJM8","DP_3")</f>
        <v>#NV</v>
      </c>
    </row>
    <row r="13" spans="1:3" x14ac:dyDescent="0.2">
      <c r="A13" s="10" t="str">
        <f>[1]!BexGetCellData("","003N8D85VN5Y88UOCOONXF2KW","DP_3")</f>
        <v xml:space="preserve">  Pasivo No Circulante</v>
      </c>
      <c r="B13" s="8" t="str">
        <f>[1]!BexGetCellData("003N8D85VN5Y88UOCOONXLKGG","003N8D85VN5Y88UOCOONXF2KW","DP_3")</f>
        <v>#NV</v>
      </c>
      <c r="C13" s="8" t="str">
        <f>[1]!BexGetCellData("003N8D85VN5Y88UOCOONXLQS0","003N8D85VN5Y88UOCOONXF2KW","DP_3")</f>
        <v>#NV</v>
      </c>
    </row>
    <row r="14" spans="1:3" x14ac:dyDescent="0.2">
      <c r="A14" s="10" t="str">
        <f>[1]!BexGetCellData("","003N8D85VN5Y88UOCOONXFLJK","DP_3")</f>
        <v xml:space="preserve">    Cuentas por Pagar a Largo Plazo</v>
      </c>
      <c r="B14" s="14" t="str">
        <f>[1]!BexGetCellData("003N8D85VN5Y88UOCOONXLKGG","003N8D85VN5Y88UOCOONXFLJK","DP_3")</f>
        <v>#NV</v>
      </c>
      <c r="C14" s="7" t="str">
        <f>[1]!BexGetCellData("003N8D85VN5Y88UOCOONXLQS0","003N8D85VN5Y88UOCOONXFLJK","DP_3")</f>
        <v>#NV</v>
      </c>
    </row>
    <row r="15" spans="1:3" x14ac:dyDescent="0.2">
      <c r="A15" s="10" t="str">
        <f>[1]!BexGetCellData("","003N8D85VN5Y88UOCOONXG4I8","DP_3")</f>
        <v xml:space="preserve">    Documentos por Pagar a Largo Plazo</v>
      </c>
      <c r="B15" s="14" t="str">
        <f>[1]!BexGetCellData("003N8D85VN5Y88UOCOONXLKGG","003N8D85VN5Y88UOCOONXG4I8","DP_3")</f>
        <v>#NV</v>
      </c>
      <c r="C15" s="8" t="str">
        <f>[1]!BexGetCellData("003N8D85VN5Y88UOCOONXLQS0","003N8D85VN5Y88UOCOONXG4I8","DP_3")</f>
        <v>#NV</v>
      </c>
    </row>
    <row r="16" spans="1:3" x14ac:dyDescent="0.2">
      <c r="A16" s="10" t="str">
        <f>[1]!BexGetCellData("","003N8D85VN5Y88UOCOONXGNGW","DP_3")</f>
        <v xml:space="preserve">    Deuda Pública a Largo Plazo</v>
      </c>
      <c r="B16" s="13" t="str">
        <f>[1]!BexGetCellData("003N8D85VN5Y88UOCOONXLKGG","003N8D85VN5Y88UOCOONXGNGW","DP_3")</f>
        <v>#NV</v>
      </c>
      <c r="C16" s="6" t="str">
        <f>[1]!BexGetCellData("003N8D85VN5Y88UOCOONXLQS0","003N8D85VN5Y88UOCOONXGNGW","DP_3")</f>
        <v>#NV</v>
      </c>
    </row>
    <row r="17" spans="1:3" x14ac:dyDescent="0.2">
      <c r="A17" s="10" t="str">
        <f>[1]!BexGetCellData("","003N8D85VN5Y88UOCOONXH6FK","DP_3")</f>
        <v xml:space="preserve">    Pasivos Diferidos a Largo Plazo</v>
      </c>
      <c r="B17" s="14" t="str">
        <f>[1]!BexGetCellData("003N8D85VN5Y88UOCOONXLKGG","003N8D85VN5Y88UOCOONXH6FK","DP_3")</f>
        <v>#NV</v>
      </c>
      <c r="C17" s="8" t="str">
        <f>[1]!BexGetCellData("003N8D85VN5Y88UOCOONXLQS0","003N8D85VN5Y88UOCOONXH6FK","DP_3")</f>
        <v>#NV</v>
      </c>
    </row>
    <row r="18" spans="1:3" x14ac:dyDescent="0.2">
      <c r="A18" s="10" t="str">
        <f>[1]!BexGetCellData("","003N8D85VN5Y88UOCOONXHPE8","DP_3")</f>
        <v xml:space="preserve">    Fondos y Bienes de Terceros en Garantía</v>
      </c>
      <c r="B18" s="14" t="str">
        <f>[1]!BexGetCellData("003N8D85VN5Y88UOCOONXLKGG","003N8D85VN5Y88UOCOONXHPE8","DP_3")</f>
        <v>#NV</v>
      </c>
      <c r="C18" s="8" t="str">
        <f>[1]!BexGetCellData("003N8D85VN5Y88UOCOONXLQS0","003N8D85VN5Y88UOCOONXHPE8","DP_3")</f>
        <v>#NV</v>
      </c>
    </row>
    <row r="19" spans="1:3" x14ac:dyDescent="0.2">
      <c r="A19" s="10" t="str">
        <f>[1]!BexGetCellData("","003N8D85VN5Y88UOCOONXJT8W","DP_3")</f>
        <v xml:space="preserve">    Provisiones a Largo Plazo</v>
      </c>
      <c r="B19" s="14" t="str">
        <f>[1]!BexGetCellData("003N8D85VN5Y88UOCOONXLKGG","003N8D85VN5Y88UOCOONXJT8W","DP_3")</f>
        <v>#NV</v>
      </c>
      <c r="C19" s="8" t="str">
        <f>[1]!BexGetCellData("003N8D85VN5Y88UOCOONXLQS0","003N8D85VN5Y88UOCOONXJT8W","DP_3")</f>
        <v>#NV</v>
      </c>
    </row>
    <row r="20" spans="1:3" x14ac:dyDescent="0.2">
      <c r="A20" s="10" t="str">
        <f>[1]!BexGetCellData("","003N8D85VN5Y88UOCOONXKC7K","DP_3")</f>
        <v xml:space="preserve">  Total de Pasivos No Circulantes</v>
      </c>
      <c r="B20" s="13" t="str">
        <f>[1]!BexGetCellData("003N8D85VN5Y88UOCOONXLKGG","003N8D85VN5Y88UOCOONXKC7K","DP_3")</f>
        <v>#NV</v>
      </c>
      <c r="C20" s="6" t="str">
        <f>[1]!BexGetCellData("003N8D85VN5Y88UOCOONXLQS0","003N8D85VN5Y88UOCOONXKC7K","DP_3")</f>
        <v>#NV</v>
      </c>
    </row>
    <row r="21" spans="1:3" x14ac:dyDescent="0.2">
      <c r="A21" s="10" t="str">
        <f>[1]!BexGetCellData("","003N8D85VN5Y88UOCOONXKV68","DP_3")</f>
        <v>Total de Pasivos</v>
      </c>
      <c r="B21" s="13" t="str">
        <f>[1]!BexGetCellData("003N8D85VN5Y88UOCOONXLKGG","003N8D85VN5Y88UOCOONXKV68","DP_3")</f>
        <v>#NV</v>
      </c>
      <c r="C21" s="6" t="str">
        <f>[1]!BexGetCellData("003N8D85VN5Y88UOCOONXLQS0","003N8D85VN5Y88UOCOONXKV68","DP_3")</f>
        <v>#NV</v>
      </c>
    </row>
    <row r="22" spans="1:3" x14ac:dyDescent="0.2">
      <c r="A22" s="10" t="str">
        <f>[1]!BexGetCellData("","003N8D85VN5Y8HKZ7PKW3YTFW","DP_3")</f>
        <v>Hacienda Pública/Patrimonio</v>
      </c>
      <c r="B22" s="8" t="str">
        <f>[1]!BexGetCellData("003N8D85VN5Y88UOCOONXLKGG","003N8D85VN5Y8HKZ7PKW3YTFW","DP_3")</f>
        <v>#NV</v>
      </c>
      <c r="C22" s="8" t="str">
        <f>[1]!BexGetCellData("003N8D85VN5Y88UOCOONXLQS0","003N8D85VN5Y8HKZ7PKW3YTFW","DP_3")</f>
        <v>#NV</v>
      </c>
    </row>
    <row r="23" spans="1:3" x14ac:dyDescent="0.2">
      <c r="A23" s="10" t="str">
        <f>[1]!BexGetCellData("","003N8D85VN5Y8HKZ876XSEN4C","DP_3")</f>
        <v xml:space="preserve">  Hacienda Pública/Patrimonio Contribuido</v>
      </c>
      <c r="B23" s="13" t="str">
        <f>[1]!BexGetCellData("003N8D85VN5Y88UOCOONXLKGG","003N8D85VN5Y8HKZ876XSEN4C","DP_3")</f>
        <v>#NV</v>
      </c>
      <c r="C23" s="6" t="str">
        <f>[1]!BexGetCellData("003N8D85VN5Y88UOCOONXLQS0","003N8D85VN5Y8HKZ876XSEN4C","DP_3")</f>
        <v>#NV</v>
      </c>
    </row>
    <row r="24" spans="1:3" x14ac:dyDescent="0.2">
      <c r="A24" s="10" t="str">
        <f>[1]!BexGetCellData("","003N8D85VN5Y8HKZ9377ZCGB0","DP_3")</f>
        <v xml:space="preserve">    Aportaciones</v>
      </c>
      <c r="B24" s="13" t="str">
        <f>[1]!BexGetCellData("003N8D85VN5Y88UOCOONXLKGG","003N8D85VN5Y8HKZ9377ZCGB0","DP_3")</f>
        <v>#NV</v>
      </c>
      <c r="C24" s="6" t="str">
        <f>[1]!BexGetCellData("003N8D85VN5Y88UOCOONXLQS0","003N8D85VN5Y8HKZ9377ZCGB0","DP_3")</f>
        <v>#NV</v>
      </c>
    </row>
    <row r="25" spans="1:3" x14ac:dyDescent="0.2">
      <c r="A25" s="10" t="str">
        <f>[1]!BexGetCellData("","003N8D85VN5Y8HKZ9O9BNKOLS","DP_3")</f>
        <v xml:space="preserve">    Donaciones de Capital</v>
      </c>
      <c r="B25" s="14" t="str">
        <f>[1]!BexGetCellData("003N8D85VN5Y88UOCOONXLKGG","003N8D85VN5Y8HKZ9O9BNKOLS","DP_3")</f>
        <v>#NV</v>
      </c>
      <c r="C25" s="8" t="str">
        <f>[1]!BexGetCellData("003N8D85VN5Y88UOCOONXLQS0","003N8D85VN5Y8HKZ9O9BNKOLS","DP_3")</f>
        <v>#NV</v>
      </c>
    </row>
    <row r="26" spans="1:3" x14ac:dyDescent="0.2">
      <c r="A26" s="10" t="str">
        <f>[1]!BexGetCellData("","003N8D85VN5Y8HKZACCYYI3KG","DP_3")</f>
        <v xml:space="preserve">    Actualización de la Hacienda Pública/Pa</v>
      </c>
      <c r="B26" s="13" t="str">
        <f>[1]!BexGetCellData("003N8D85VN5Y88UOCOONXLKGG","003N8D85VN5Y8HKZACCYYI3KG","DP_3")</f>
        <v>#NV</v>
      </c>
      <c r="C26" s="6" t="str">
        <f>[1]!BexGetCellData("003N8D85VN5Y88UOCOONXLQS0","003N8D85VN5Y8HKZACCYYI3KG","DP_3")</f>
        <v>#NV</v>
      </c>
    </row>
    <row r="27" spans="1:3" x14ac:dyDescent="0.2">
      <c r="A27" s="10" t="str">
        <f>[1]!BexGetCellData("","003N8D85VN5Y8HKZAZU4PQ6J5","DP_3")</f>
        <v xml:space="preserve">  Hacienda Pública/Patrimonio Generado</v>
      </c>
      <c r="B27" s="13" t="str">
        <f>[1]!BexGetCellData("003N8D85VN5Y88UOCOONXLKGG","003N8D85VN5Y8HKZAZU4PQ6J5","DP_3")</f>
        <v>#NV</v>
      </c>
      <c r="C27" s="6" t="str">
        <f>[1]!BexGetCellData("003N8D85VN5Y88UOCOONXLQS0","003N8D85VN5Y8HKZAZU4PQ6J5","DP_3")</f>
        <v>#NV</v>
      </c>
    </row>
    <row r="28" spans="1:3" x14ac:dyDescent="0.2">
      <c r="A28" s="10" t="str">
        <f>[1]!BexGetCellData("","003N8D85VN5Y8HKZBM0RZLRBU","DP_3")</f>
        <v xml:space="preserve">    Resultados del Ejercicio (Ahorro/ Desahorro)</v>
      </c>
      <c r="B28" s="13" t="str">
        <f>[1]!BexGetCellData("003N8D85VN5Y88UOCOONXLKGG","003N8D85VN5Y8HKZBM0RZLRBU","DP_3")</f>
        <v>#NV</v>
      </c>
      <c r="C28" s="6" t="str">
        <f>[1]!BexGetCellData("003N8D85VN5Y88UOCOONXLQS0","003N8D85VN5Y8HKZBM0RZLRBU","DP_3")</f>
        <v>#NV</v>
      </c>
    </row>
    <row r="29" spans="1:3" x14ac:dyDescent="0.2">
      <c r="A29" s="10" t="str">
        <f>[1]!BexGetCellData("","003N8D85VN5Y8HKZCA2TBAFMI","DP_3")</f>
        <v xml:space="preserve">    Resultados de Ejercicios Anteriores</v>
      </c>
      <c r="B29" s="13" t="str">
        <f>[1]!BexGetCellData("003N8D85VN5Y88UOCOONXLKGG","003N8D85VN5Y8HKZCA2TBAFMI","DP_3")</f>
        <v>#NV</v>
      </c>
      <c r="C29" s="6" t="str">
        <f>[1]!BexGetCellData("003N8D85VN5Y88UOCOONXLQS0","003N8D85VN5Y8HKZCA2TBAFMI","DP_3")</f>
        <v>#NV</v>
      </c>
    </row>
    <row r="30" spans="1:3" x14ac:dyDescent="0.2">
      <c r="A30" s="10" t="str">
        <f>[1]!BexGetCellData("","003N8D85VN5Y8HKZE3X0X81WE","DP_3")</f>
        <v xml:space="preserve">    Revalúos</v>
      </c>
      <c r="B30" s="14" t="str">
        <f>[1]!BexGetCellData("003N8D85VN5Y88UOCOONXLKGG","003N8D85VN5Y8HKZE3X0X81WE","DP_3")</f>
        <v>#NV</v>
      </c>
      <c r="C30" s="8" t="str">
        <f>[1]!BexGetCellData("003N8D85VN5Y88UOCOONXLQS0","003N8D85VN5Y8HKZE3X0X81WE","DP_3")</f>
        <v>#NV</v>
      </c>
    </row>
    <row r="31" spans="1:3" x14ac:dyDescent="0.2">
      <c r="A31" s="10" t="str">
        <f>[1]!BexGetCellData("","003N8D85VN5Y8HKZF2DGVBXCY","DP_3")</f>
        <v xml:space="preserve">    Reservas</v>
      </c>
      <c r="B31" s="14" t="str">
        <f>[1]!BexGetCellData("003N8D85VN5Y88UOCOONXLKGG","003N8D85VN5Y8HKZF2DGVBXCY","DP_3")</f>
        <v>#NV</v>
      </c>
      <c r="C31" s="8" t="str">
        <f>[1]!BexGetCellData("003N8D85VN5Y88UOCOONXLQS0","003N8D85VN5Y8HKZF2DGVBXCY","DP_3")</f>
        <v>#NV</v>
      </c>
    </row>
    <row r="32" spans="1:3" x14ac:dyDescent="0.2">
      <c r="A32" s="10" t="str">
        <f>[1]!BexGetCellData("","003N8D85VN5Y8HKZFM8BOXL0I","DP_3")</f>
        <v xml:space="preserve">    Rectificaciones de Resultados de Ejercicios Anteriores</v>
      </c>
      <c r="B32" s="13" t="str">
        <f>[1]!BexGetCellData("003N8D85VN5Y88UOCOONXLKGG","003N8D85VN5Y8HKZFM8BOXL0I","DP_3")</f>
        <v>#NV</v>
      </c>
      <c r="C32" s="6" t="str">
        <f>[1]!BexGetCellData("003N8D85VN5Y88UOCOONXLQS0","003N8D85VN5Y8HKZFM8BOXL0I","DP_3")</f>
        <v>#NV</v>
      </c>
    </row>
    <row r="33" spans="1:3" x14ac:dyDescent="0.2">
      <c r="A33" s="10" t="str">
        <f>[1]!BexGetCellData("","003N8D85VN5Y8HKZGAVOBDSIU","DP_3")</f>
        <v xml:space="preserve">  Exceso o Insuficiencia en la Actualización de la Hac</v>
      </c>
      <c r="B33" s="14" t="str">
        <f>[1]!BexGetCellData("003N8D85VN5Y88UOCOONXLKGG","003N8D85VN5Y8HKZGAVOBDSIU","DP_3")</f>
        <v>#NV</v>
      </c>
      <c r="C33" s="8" t="str">
        <f>[1]!BexGetCellData("003N8D85VN5Y88UOCOONXLQS0","003N8D85VN5Y8HKZGAVOBDSIU","DP_3")</f>
        <v>#NV</v>
      </c>
    </row>
    <row r="34" spans="1:3" x14ac:dyDescent="0.2">
      <c r="A34" s="10" t="str">
        <f>[1]!BexGetCellData("","003N8D85VN5Y8HKZH8BV9KUJQ","DP_3")</f>
        <v xml:space="preserve">    Resultado por Tenencia de Activos no Monetarios</v>
      </c>
      <c r="B34" s="14" t="str">
        <f>[1]!BexGetCellData("003N8D85VN5Y88UOCOONXLKGG","003N8D85VN5Y8HKZH8BV9KUJQ","DP_3")</f>
        <v>#NV</v>
      </c>
      <c r="C34" s="8" t="str">
        <f>[1]!BexGetCellData("003N8D85VN5Y88UOCOONXLQS0","003N8D85VN5Y8HKZH8BV9KUJQ","DP_3")</f>
        <v>#NV</v>
      </c>
    </row>
    <row r="35" spans="1:3" x14ac:dyDescent="0.2">
      <c r="A35" s="10" t="str">
        <f>[1]!BexGetCellData("","003N8D85VN5Y8HKZKMXA4Z7HY","DP_3")</f>
        <v xml:space="preserve">    Resultado por Tenencia de Activos no Mo</v>
      </c>
      <c r="B35" s="14" t="str">
        <f>[1]!BexGetCellData("003N8D85VN5Y88UOCOONXLKGG","003N8D85VN5Y8HKZKMXA4Z7HY","DP_3")</f>
        <v>#NV</v>
      </c>
      <c r="C35" s="8" t="str">
        <f>[1]!BexGetCellData("003N8D85VN5Y88UOCOONXLQS0","003N8D85VN5Y8HKZKMXA4Z7HY","DP_3")</f>
        <v>#NV</v>
      </c>
    </row>
    <row r="36" spans="1:3" x14ac:dyDescent="0.2">
      <c r="A36" s="10" t="str">
        <f>[1]!BexGetCellData("","003N8D85VN5Y8HKZLONALDCC9","DP_3")</f>
        <v>Total Hacienda Pública/Patrimonio</v>
      </c>
      <c r="B36" s="13" t="str">
        <f>[1]!BexGetCellData("003N8D85VN5Y88UOCOONXLKGG","003N8D85VN5Y8HKZLONALDCC9","DP_3")</f>
        <v>#NV</v>
      </c>
      <c r="C36" s="6" t="str">
        <f>[1]!BexGetCellData("003N8D85VN5Y88UOCOONXLQS0","003N8D85VN5Y8HKZLONALDCC9","DP_3")</f>
        <v>#NV</v>
      </c>
    </row>
    <row r="37" spans="1:3" x14ac:dyDescent="0.2">
      <c r="A37" s="10" t="str">
        <f>[1]!BexGetCellData("","003N8D85VN5Y8HKZMBIWNVJQX","DP_3")</f>
        <v>Total del Pasivo y Hacienda Pública/Patrimonio</v>
      </c>
      <c r="B37" s="13" t="str">
        <f>[1]!BexGetCellData("003N8D85VN5Y88UOCOONXLKGG","003N8D85VN5Y8HKZMBIWNVJQX","DP_3")</f>
        <v>#NV</v>
      </c>
      <c r="C37" s="6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9076DB-3BD4-4F30-8C5F-6FA7D8F663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María de Jesús Rios Angulo</cp:lastModifiedBy>
  <cp:lastPrinted>2023-08-11T17:02:26Z</cp:lastPrinted>
  <dcterms:created xsi:type="dcterms:W3CDTF">2017-06-21T15:05:23Z</dcterms:created>
  <dcterms:modified xsi:type="dcterms:W3CDTF">2023-11-14T18:38:27Z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Copia de I.1 ESF.xlsx</vt:lpwstr>
  </property>
</Properties>
</file>